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HWG\"/>
    </mc:Choice>
  </mc:AlternateContent>
  <bookViews>
    <workbookView xWindow="0" yWindow="0" windowWidth="15345" windowHeight="5940"/>
  </bookViews>
  <sheets>
    <sheet name="CFD Allocation" sheetId="1" r:id="rId1"/>
    <sheet name="HMA Mgmt Activities" sheetId="2" r:id="rId2"/>
    <sheet name="Dev Parcel Habitat Cover" sheetId="3"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C18" i="1" s="1"/>
  <c r="D18" i="1" s="1"/>
  <c r="C17" i="1" l="1"/>
  <c r="D17" i="1" s="1"/>
  <c r="H9" i="1"/>
  <c r="B9" i="1"/>
  <c r="P9" i="1" l="1"/>
  <c r="P10" i="1"/>
  <c r="P12" i="1"/>
  <c r="P13" i="1"/>
  <c r="D5" i="1" l="1"/>
  <c r="N5" i="1"/>
  <c r="Q5" i="1" l="1"/>
  <c r="K5" i="1"/>
  <c r="E19" i="1" l="1"/>
  <c r="J9" i="3"/>
  <c r="H9" i="3"/>
  <c r="F9" i="3"/>
  <c r="D9" i="3"/>
  <c r="O19" i="1"/>
  <c r="P11" i="1" s="1"/>
  <c r="C16" i="1"/>
  <c r="D16" i="1" s="1"/>
  <c r="C14" i="1" l="1"/>
  <c r="D14" i="1" s="1"/>
  <c r="C15" i="1"/>
  <c r="D15" i="1" s="1"/>
  <c r="C10" i="1"/>
  <c r="D10" i="1" s="1"/>
  <c r="C12" i="1"/>
  <c r="D12" i="1" s="1"/>
  <c r="F9" i="1"/>
  <c r="G9" i="1" s="1"/>
  <c r="F10" i="1"/>
  <c r="G10" i="1" s="1"/>
  <c r="C13" i="1"/>
  <c r="D13" i="1" s="1"/>
  <c r="F11" i="1"/>
  <c r="G11" i="1" s="1"/>
  <c r="C9" i="1"/>
  <c r="D9" i="1" s="1"/>
  <c r="F13" i="1"/>
  <c r="G13" i="1" s="1"/>
  <c r="F12" i="1"/>
  <c r="G12" i="1" s="1"/>
  <c r="C11" i="1"/>
  <c r="D11" i="1" s="1"/>
  <c r="Q9" i="1"/>
  <c r="Q13" i="1"/>
  <c r="Q12" i="1"/>
  <c r="Q11" i="1"/>
  <c r="Q10" i="1"/>
  <c r="J6" i="3"/>
  <c r="J7" i="3"/>
  <c r="J8" i="3"/>
  <c r="H6" i="3"/>
  <c r="H7" i="3"/>
  <c r="H8" i="3"/>
  <c r="F6" i="3"/>
  <c r="F7" i="3"/>
  <c r="F8" i="3"/>
  <c r="J5" i="3"/>
  <c r="H5" i="3"/>
  <c r="F5" i="3"/>
  <c r="D6" i="3"/>
  <c r="D7" i="3"/>
  <c r="D8" i="3"/>
  <c r="D5" i="3"/>
  <c r="I9" i="3"/>
  <c r="G9" i="3"/>
  <c r="E9" i="3"/>
  <c r="C9" i="3"/>
  <c r="D19" i="1" l="1"/>
  <c r="G19" i="1"/>
  <c r="Q19" i="1"/>
  <c r="O31" i="2"/>
  <c r="I20" i="2"/>
  <c r="I19" i="2"/>
  <c r="H21" i="2"/>
  <c r="C6" i="2"/>
  <c r="C4" i="2"/>
  <c r="P31" i="2"/>
  <c r="Q31" i="2" s="1"/>
  <c r="N31" i="2"/>
  <c r="Q16" i="2"/>
  <c r="Q17" i="2"/>
  <c r="Q18" i="2"/>
  <c r="Q19" i="2"/>
  <c r="Q20" i="2"/>
  <c r="Q21" i="2"/>
  <c r="Q22" i="2"/>
  <c r="Q23" i="2"/>
  <c r="Q25" i="2"/>
  <c r="Q26" i="2"/>
  <c r="Q27" i="2"/>
  <c r="Q28" i="2"/>
  <c r="Q29" i="2"/>
  <c r="Q30" i="2"/>
  <c r="O16" i="2"/>
  <c r="O17" i="2"/>
  <c r="O18" i="2"/>
  <c r="O19" i="2"/>
  <c r="O20" i="2"/>
  <c r="O21" i="2"/>
  <c r="O22" i="2"/>
  <c r="O23" i="2"/>
  <c r="O25" i="2"/>
  <c r="O26" i="2"/>
  <c r="O27" i="2"/>
  <c r="O28" i="2"/>
  <c r="O29" i="2"/>
  <c r="O30" i="2"/>
  <c r="O15" i="2"/>
  <c r="Q15" i="2"/>
  <c r="I11" i="1" l="1"/>
  <c r="L11" i="1" s="1"/>
  <c r="I12" i="1"/>
  <c r="L12" i="1" s="1"/>
  <c r="I13" i="1"/>
  <c r="L13" i="1" s="1"/>
  <c r="I10" i="1"/>
  <c r="L10" i="1" s="1"/>
  <c r="I9" i="1" l="1"/>
  <c r="L9" i="1" s="1"/>
  <c r="L19" i="1" s="1"/>
  <c r="M9" i="1" s="1"/>
  <c r="N9" i="1" s="1"/>
  <c r="H19" i="1"/>
  <c r="M11" i="1" l="1"/>
  <c r="N11" i="1" s="1"/>
  <c r="M13" i="1"/>
  <c r="N13" i="1" s="1"/>
  <c r="M12" i="1"/>
  <c r="N12" i="1" s="1"/>
  <c r="M10" i="1"/>
  <c r="N10" i="1" s="1"/>
  <c r="I19" i="1"/>
  <c r="N19" i="1" l="1"/>
  <c r="J13" i="1"/>
  <c r="K13" i="1" s="1"/>
  <c r="R13" i="1" s="1"/>
  <c r="S13" i="1" s="1"/>
  <c r="J11" i="1"/>
  <c r="K11" i="1" s="1"/>
  <c r="R11" i="1" s="1"/>
  <c r="S11" i="1" s="1"/>
  <c r="J10" i="1"/>
  <c r="K10" i="1" s="1"/>
  <c r="R10" i="1" s="1"/>
  <c r="S10" i="1" s="1"/>
  <c r="J12" i="1"/>
  <c r="K12" i="1" s="1"/>
  <c r="R12" i="1" s="1"/>
  <c r="S12" i="1" s="1"/>
  <c r="J9" i="1"/>
  <c r="K9" i="1" s="1"/>
  <c r="K19" i="1" l="1"/>
  <c r="R9" i="1"/>
  <c r="R19" i="1" l="1"/>
  <c r="S9" i="1"/>
  <c r="S19" i="1" s="1"/>
</calcChain>
</file>

<file path=xl/comments1.xml><?xml version="1.0" encoding="utf-8"?>
<comments xmlns="http://schemas.openxmlformats.org/spreadsheetml/2006/main">
  <authors>
    <author>Clueit, Bernadette</author>
    <author>tc={6E75BF70-F623-40C7-BF71-F6A9A9D29343}</author>
  </authors>
  <commentList>
    <comment ref="G3" authorId="0" shapeId="0">
      <text>
        <r>
          <rPr>
            <b/>
            <sz val="9"/>
            <color indexed="81"/>
            <rFont val="Tahoma"/>
            <family val="2"/>
          </rPr>
          <t>Clueit, Bernadette:</t>
        </r>
        <r>
          <rPr>
            <sz val="9"/>
            <color indexed="81"/>
            <rFont val="Tahoma"/>
            <family val="2"/>
          </rPr>
          <t xml:space="preserve">
Mgmt of Development with Reserve areas must be consistent with reserves.  Therefore, same effort applies.</t>
        </r>
      </text>
    </comment>
    <comment ref="K3" authorId="0" shapeId="0">
      <text>
        <r>
          <rPr>
            <b/>
            <sz val="9"/>
            <color indexed="81"/>
            <rFont val="Tahoma"/>
            <family val="2"/>
          </rPr>
          <t>Clueit, Bernadette:</t>
        </r>
        <r>
          <rPr>
            <sz val="9"/>
            <color indexed="81"/>
            <rFont val="Tahoma"/>
            <family val="2"/>
          </rPr>
          <t xml:space="preserve">
Borderland mgmt requires maintenance of firebreaks and vehicle access control along the interface with the reserves.  Other potentially required activities are unknown at this time.</t>
        </r>
      </text>
    </comment>
    <comment ref="N3" authorId="0" shapeId="0">
      <text>
        <r>
          <rPr>
            <b/>
            <sz val="9"/>
            <color indexed="81"/>
            <rFont val="Tahoma"/>
            <family val="2"/>
          </rPr>
          <t>Clueit, Bernadette:</t>
        </r>
        <r>
          <rPr>
            <sz val="9"/>
            <color indexed="81"/>
            <rFont val="Tahoma"/>
            <family val="2"/>
          </rPr>
          <t xml:space="preserve">
Where exactly does interim management apply?  I don't see anything in HMP that specifies "interim management".</t>
        </r>
      </text>
    </comment>
    <comment ref="Q3" authorId="0" shapeId="0">
      <text>
        <r>
          <rPr>
            <b/>
            <sz val="9"/>
            <color indexed="81"/>
            <rFont val="Tahoma"/>
            <family val="2"/>
          </rPr>
          <t>Clueit, Bernadette:</t>
        </r>
        <r>
          <rPr>
            <sz val="9"/>
            <color indexed="81"/>
            <rFont val="Tahoma"/>
            <family val="2"/>
          </rPr>
          <t xml:space="preserve">
Effort here is assumed to be consistent with a single year survey for a HMA. Presumably a one-time survey effort would be required to identify sensitive species prior to development so that ITPs can be obtained and potential salvage can be determined.  The question remains whether this should be funded by CFD money, or by the potential developer.</t>
        </r>
      </text>
    </comment>
    <comment ref="E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277 acres is not attempting to incorporate future development.  It is an acknowledgement that the County will have to manage those 277 acres with the same level of effort as the HMA management until such time as development occurs.
Reply:
    Ering refers to this as allowable development</t>
        </r>
      </text>
    </comment>
    <comment ref="L7" authorId="0" shapeId="0">
      <text>
        <r>
          <rPr>
            <b/>
            <sz val="9"/>
            <color indexed="81"/>
            <rFont val="Tahoma"/>
            <family val="2"/>
          </rPr>
          <t>Clueit, Bernadette:</t>
        </r>
        <r>
          <rPr>
            <sz val="9"/>
            <color indexed="81"/>
            <rFont val="Tahoma"/>
            <family val="2"/>
          </rPr>
          <t xml:space="preserve">
Since Interim management is assumed to be happening across the entire development parcel, but at a lower cost that the management of borderlands (per EH), the acreage of borderlands has been subtracted from the acreage of interim mgmt.  This avoids double allocation of funds on the same acreage.</t>
        </r>
      </text>
    </comment>
    <comment ref="P7" authorId="0" shapeId="0">
      <text>
        <r>
          <rPr>
            <b/>
            <sz val="9"/>
            <color indexed="81"/>
            <rFont val="Tahoma"/>
            <family val="2"/>
          </rPr>
          <t>Clueit, Bernadette:</t>
        </r>
        <r>
          <rPr>
            <sz val="9"/>
            <color indexed="81"/>
            <rFont val="Tahoma"/>
            <family val="2"/>
          </rPr>
          <t xml:space="preserve">
This is the percent of the development acreage that has potential as habitat, that may need to have sensitive resources identified and potentially salvaged.  The requirement for identifying sensitive resources is from the Biological Opinion.</t>
        </r>
      </text>
    </comment>
    <comment ref="A9" authorId="0" shapeId="0">
      <text>
        <r>
          <rPr>
            <b/>
            <sz val="9"/>
            <color indexed="81"/>
            <rFont val="Tahoma"/>
            <family val="2"/>
          </rPr>
          <t>Clueit, Bernadette:</t>
        </r>
        <r>
          <rPr>
            <sz val="9"/>
            <color indexed="81"/>
            <rFont val="Tahoma"/>
            <family val="2"/>
          </rPr>
          <t xml:space="preserve">
90% of HMA plant and wildlife monitoring effort</t>
        </r>
      </text>
    </comment>
    <comment ref="A11" authorId="0" shapeId="0">
      <text>
        <r>
          <rPr>
            <b/>
            <sz val="9"/>
            <color indexed="81"/>
            <rFont val="Tahoma"/>
            <family val="2"/>
          </rPr>
          <t>Clueit, Bernadette:</t>
        </r>
        <r>
          <rPr>
            <sz val="9"/>
            <color indexed="81"/>
            <rFont val="Tahoma"/>
            <family val="2"/>
          </rPr>
          <t xml:space="preserve">
10% of HMA plant and wildlife monitoring effort</t>
        </r>
      </text>
    </comment>
  </commentList>
</comments>
</file>

<file path=xl/comments2.xml><?xml version="1.0" encoding="utf-8"?>
<comments xmlns="http://schemas.openxmlformats.org/spreadsheetml/2006/main">
  <authors>
    <author>Clueit, Bernadette</author>
  </authors>
  <commentList>
    <comment ref="K2" authorId="0" shapeId="0">
      <text>
        <r>
          <rPr>
            <b/>
            <sz val="9"/>
            <color indexed="81"/>
            <rFont val="Tahoma"/>
            <family val="2"/>
          </rPr>
          <t>Clueit, Bernadette:</t>
        </r>
        <r>
          <rPr>
            <sz val="9"/>
            <color indexed="81"/>
            <rFont val="Tahoma"/>
            <family val="2"/>
          </rPr>
          <t xml:space="preserve">
All numbers provided by EH</t>
        </r>
      </text>
    </comment>
    <comment ref="N12" authorId="0" shapeId="0">
      <text>
        <r>
          <rPr>
            <b/>
            <sz val="9"/>
            <color indexed="81"/>
            <rFont val="Tahoma"/>
            <family val="2"/>
          </rPr>
          <t>Clueit, Bernadette:</t>
        </r>
        <r>
          <rPr>
            <sz val="9"/>
            <color indexed="81"/>
            <rFont val="Tahoma"/>
            <family val="2"/>
          </rPr>
          <t xml:space="preserve">
Numbers provided by EH</t>
        </r>
      </text>
    </comment>
  </commentList>
</comments>
</file>

<file path=xl/comments3.xml><?xml version="1.0" encoding="utf-8"?>
<comments xmlns="http://schemas.openxmlformats.org/spreadsheetml/2006/main">
  <authors>
    <author>Clueit, Bernadette</author>
  </authors>
  <commentList>
    <comment ref="C2" authorId="0" shapeId="0">
      <text>
        <r>
          <rPr>
            <b/>
            <sz val="9"/>
            <color indexed="81"/>
            <rFont val="Tahoma"/>
            <family val="2"/>
          </rPr>
          <t>Clueit, Bernadette:</t>
        </r>
        <r>
          <rPr>
            <sz val="9"/>
            <color indexed="81"/>
            <rFont val="Tahoma"/>
            <family val="2"/>
          </rPr>
          <t xml:space="preserve">
Numbers provided by EH</t>
        </r>
      </text>
    </comment>
  </commentList>
</comments>
</file>

<file path=xl/sharedStrings.xml><?xml version="1.0" encoding="utf-8"?>
<sst xmlns="http://schemas.openxmlformats.org/spreadsheetml/2006/main" count="135" uniqueCount="94">
  <si>
    <t>Jurisdiction</t>
  </si>
  <si>
    <t>Monterey County</t>
  </si>
  <si>
    <t>Seaside</t>
  </si>
  <si>
    <t>Marina</t>
  </si>
  <si>
    <t>Monterey City</t>
  </si>
  <si>
    <t>Del Rey Oaks</t>
  </si>
  <si>
    <t>Plants - Group 1</t>
  </si>
  <si>
    <t>Plants - Group 2</t>
  </si>
  <si>
    <t>Plants - Group 3</t>
  </si>
  <si>
    <t>Assumptions &amp; Notes</t>
  </si>
  <si>
    <t>Notes</t>
  </si>
  <si>
    <t>HMA % of Total</t>
  </si>
  <si>
    <t>Total</t>
  </si>
  <si>
    <t>HMA</t>
  </si>
  <si>
    <t>acres</t>
  </si>
  <si>
    <t>HMA Mgmt Multiplier</t>
  </si>
  <si>
    <t xml:space="preserve">Development </t>
  </si>
  <si>
    <t>Borderland</t>
  </si>
  <si>
    <t>Borderland Multiplier</t>
  </si>
  <si>
    <t>Interim Mgmt Multiplier</t>
  </si>
  <si>
    <t xml:space="preserve">Borderland </t>
  </si>
  <si>
    <t>linear ft</t>
  </si>
  <si>
    <t>Development Multiplier</t>
  </si>
  <si>
    <t>DwR Multiplier (same as HMA)</t>
  </si>
  <si>
    <t># species</t>
  </si>
  <si>
    <t>Restoration</t>
  </si>
  <si>
    <t>Habitat Enhancement</t>
  </si>
  <si>
    <t xml:space="preserve">Abundance Sampling      </t>
  </si>
  <si>
    <t>Wildlife P/A surveys</t>
  </si>
  <si>
    <t>Plant seedlings in coast live oak woodland (10% of total every yr)</t>
  </si>
  <si>
    <t>Aerial Mapping every 10 years</t>
  </si>
  <si>
    <t>Group 1 Plant Species: Sand gilia, Monterey spineflower, seaside bird's-beak</t>
  </si>
  <si>
    <t>Group 2 Plant Species: Maritime Chapparral</t>
  </si>
  <si>
    <t>Group 3 Plant Species: Coast Wallflower</t>
  </si>
  <si>
    <t>Species</t>
  </si>
  <si>
    <t>Sand gilia</t>
  </si>
  <si>
    <t>Monterey Spineflower</t>
  </si>
  <si>
    <t>Seaside bird's beak</t>
  </si>
  <si>
    <t>Eastwood's ericameria</t>
  </si>
  <si>
    <t>Hooker's manzanita</t>
  </si>
  <si>
    <t>Toro manzanita</t>
  </si>
  <si>
    <t>Coast Wallflower</t>
  </si>
  <si>
    <t>Monterey ceanothus</t>
  </si>
  <si>
    <t>Sandmat manzanita</t>
  </si>
  <si>
    <t>Plants</t>
  </si>
  <si>
    <t>Animals</t>
  </si>
  <si>
    <t>Smith's blue butterfly</t>
  </si>
  <si>
    <t>California tiger salamander</t>
  </si>
  <si>
    <t>California red-legged frog</t>
  </si>
  <si>
    <t>Black legless lizard</t>
  </si>
  <si>
    <t>Linderiella</t>
  </si>
  <si>
    <t>Monterey ornate shrew</t>
  </si>
  <si>
    <t>%</t>
  </si>
  <si>
    <t>Overall totals</t>
  </si>
  <si>
    <t>Acres of Habitat</t>
  </si>
  <si>
    <t xml:space="preserve">% </t>
  </si>
  <si>
    <t>MOCO has 91% of the plant/wildlife monitoring effort and 89% of the aerial mapping effort</t>
  </si>
  <si>
    <t>Marina has 9% of the plant/wildlife monitoring effort, and 11% of the aerial mapping effort</t>
  </si>
  <si>
    <t>mapping</t>
  </si>
  <si>
    <t>Monterey  City</t>
  </si>
  <si>
    <t>Habitat Type</t>
  </si>
  <si>
    <t>Maritime Chaparral</t>
  </si>
  <si>
    <t>Coast live oak woodland/savannah</t>
  </si>
  <si>
    <t>Grassland</t>
  </si>
  <si>
    <t>Wetland and open water</t>
  </si>
  <si>
    <t>Potential Habitat</t>
  </si>
  <si>
    <t>HMA Monitoring Effort</t>
  </si>
  <si>
    <t>HMA Monitoring Allocation</t>
  </si>
  <si>
    <t>$</t>
  </si>
  <si>
    <t>Development Allocation</t>
  </si>
  <si>
    <t>DwR Allocation</t>
  </si>
  <si>
    <t>Borderland Allocation</t>
  </si>
  <si>
    <t>Interim Mgmt Allocation</t>
  </si>
  <si>
    <t>Borderland Effort</t>
  </si>
  <si>
    <t>Total Allocation</t>
  </si>
  <si>
    <t>Percent</t>
  </si>
  <si>
    <t>1. HMA Mgmt Allocation and DwR Allocation are all coming from the same pot of 70% of the money, so they are grouped together in the table.</t>
  </si>
  <si>
    <t>3. Borderlands acreage  calculated from linear feet assuming a 100 ft wide area to be maintained.</t>
  </si>
  <si>
    <t>4. p. 4-1 of the HMP: "In general, landowners are expected to fund management of biological resources on reserve parcels".</t>
  </si>
  <si>
    <t>5. p. 4-3 of the HMP "Development with Reserve Areas: for development parcels that have habitat reserve areas within their boundaries, the management practices must be consistent with maintenance of the reserves".</t>
  </si>
  <si>
    <t>6. p. 4-3 of HMP: " Borderland Development Areas: Management requirements such as fire breaks and limitation to vehicle access are required along the the NRMA interface.  Remaining portions of these parcels have no management restrictions"</t>
  </si>
  <si>
    <t>8. Interim management cannot be defined at this time because the required activities are unknown.</t>
  </si>
  <si>
    <t>Total Funds to be allocated</t>
  </si>
  <si>
    <t>Interim Mgmt in Development Parcels</t>
  </si>
  <si>
    <t>Interim Mgmt Effort</t>
  </si>
  <si>
    <t>7. p. 4-3 of HMP: "Development lands have no management restrictions placed on them. Sensitive Bio resources within these areas must be identified and may be salvaged for restoration within reserve areas". Assume this cost will be covered by developers. Interim mgnt columns hidden</t>
  </si>
  <si>
    <t>2. Borderland and interim management is 30% cost of baseline HCP management cost, calculations are based on MPC, which is only jurisdiction that we can calculate costs from (baseline is management not including restoration and species monitoring)</t>
  </si>
  <si>
    <t>Development with Reserve (DwR)</t>
  </si>
  <si>
    <t>DwR Monitoring Effort</t>
  </si>
  <si>
    <t>State Parks</t>
  </si>
  <si>
    <t>Regional Parks</t>
  </si>
  <si>
    <t>UC</t>
  </si>
  <si>
    <t>MPC</t>
  </si>
  <si>
    <t>CSUMB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</si>
</sst>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7" tint="0.79998168889431442"/>
        <bgColor indexed="64"/>
      </patternFill>
    </fill>
  </fills>
  <borders count="7">
    <border>
      <left/>
      <right/>
      <top/>
      <bottom/>
      <diagonal/>
    </border>
    <border>
      <left/>
      <right/>
      <top style="thin">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4" fontId="4" fillId="0" borderId="0" applyFont="0" applyFill="0" applyBorder="0" applyAlignment="0" applyProtection="0"/>
  </cellStyleXfs>
  <cellXfs count="108">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alignment horizontal="right" wrapText="1"/>
    </xf>
    <xf numFmtId="0" fontId="1" fillId="0" borderId="1" xfId="0" applyFont="1" applyBorder="1" applyAlignment="1">
      <alignment horizontal="right" wrapText="1"/>
    </xf>
    <xf numFmtId="0" fontId="1" fillId="0" borderId="1" xfId="0" applyFont="1" applyBorder="1" applyAlignment="1">
      <alignment horizont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Border="1" applyAlignment="1">
      <alignment horizontal="center" wrapText="1"/>
    </xf>
    <xf numFmtId="0" fontId="0" fillId="0" borderId="3" xfId="0" applyBorder="1" applyAlignment="1">
      <alignment horizontal="right" wrapText="1"/>
    </xf>
    <xf numFmtId="0" fontId="0" fillId="0" borderId="3" xfId="0" applyBorder="1"/>
    <xf numFmtId="0" fontId="1" fillId="0" borderId="0" xfId="0" applyFont="1" applyAlignment="1">
      <alignment horizontal="right" wrapText="1"/>
    </xf>
    <xf numFmtId="0" fontId="1" fillId="0" borderId="4" xfId="0" applyFont="1" applyBorder="1" applyAlignment="1">
      <alignment horizontal="right" wrapText="1"/>
    </xf>
    <xf numFmtId="0" fontId="1" fillId="0" borderId="4" xfId="0" applyFont="1" applyBorder="1" applyAlignment="1">
      <alignment horizontal="center" wrapText="1"/>
    </xf>
    <xf numFmtId="0" fontId="1" fillId="0" borderId="1" xfId="0" applyFont="1" applyBorder="1" applyAlignment="1">
      <alignment wrapText="1"/>
    </xf>
    <xf numFmtId="0" fontId="1" fillId="0" borderId="4" xfId="0" applyFont="1" applyBorder="1" applyAlignment="1">
      <alignment horizontal="center" vertical="center" wrapText="1"/>
    </xf>
    <xf numFmtId="9" fontId="1" fillId="0" borderId="1" xfId="0" applyNumberFormat="1" applyFont="1" applyBorder="1" applyAlignment="1">
      <alignment horizontal="center" wrapText="1"/>
    </xf>
    <xf numFmtId="2" fontId="0" fillId="0" borderId="0" xfId="0" applyNumberFormat="1"/>
    <xf numFmtId="1" fontId="0" fillId="0" borderId="0" xfId="0" applyNumberFormat="1"/>
    <xf numFmtId="1" fontId="0" fillId="0" borderId="3" xfId="0" applyNumberFormat="1" applyBorder="1"/>
    <xf numFmtId="0" fontId="1" fillId="0" borderId="1" xfId="0" applyFont="1" applyBorder="1" applyAlignment="1">
      <alignment horizontal="center"/>
    </xf>
    <xf numFmtId="0" fontId="7" fillId="0" borderId="0" xfId="0" applyFont="1"/>
    <xf numFmtId="0" fontId="0" fillId="0" borderId="0" xfId="0" applyAlignment="1">
      <alignment horizontal="center"/>
    </xf>
    <xf numFmtId="0" fontId="7" fillId="0" borderId="0" xfId="0" applyFont="1" applyAlignment="1">
      <alignment horizontal="right"/>
    </xf>
    <xf numFmtId="0" fontId="1" fillId="0" borderId="0" xfId="0" applyFont="1" applyAlignment="1"/>
    <xf numFmtId="0" fontId="1" fillId="0" borderId="4"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right"/>
    </xf>
    <xf numFmtId="1" fontId="1" fillId="0" borderId="1" xfId="0" applyNumberFormat="1" applyFont="1" applyBorder="1"/>
    <xf numFmtId="0" fontId="1" fillId="0" borderId="5" xfId="0" applyFont="1" applyBorder="1" applyAlignment="1">
      <alignment horizontal="center" wrapText="1"/>
    </xf>
    <xf numFmtId="0" fontId="8" fillId="0" borderId="5" xfId="0" applyFont="1" applyBorder="1" applyAlignment="1">
      <alignment horizontal="center"/>
    </xf>
    <xf numFmtId="1" fontId="7" fillId="0" borderId="0" xfId="1" applyNumberFormat="1" applyFont="1"/>
    <xf numFmtId="1" fontId="8" fillId="0" borderId="1" xfId="1" applyNumberFormat="1" applyFont="1" applyBorder="1"/>
    <xf numFmtId="1" fontId="7" fillId="0" borderId="0" xfId="0" applyNumberFormat="1" applyFont="1"/>
    <xf numFmtId="1" fontId="8" fillId="0" borderId="1" xfId="0" applyNumberFormat="1" applyFont="1" applyBorder="1"/>
    <xf numFmtId="0" fontId="8" fillId="0" borderId="5" xfId="0" applyFont="1" applyBorder="1" applyAlignment="1">
      <alignment horizontal="center" wrapText="1"/>
    </xf>
    <xf numFmtId="0" fontId="1" fillId="0" borderId="6" xfId="0" applyFont="1" applyBorder="1" applyAlignment="1">
      <alignment horizontal="center"/>
    </xf>
    <xf numFmtId="164" fontId="0" fillId="0" borderId="0" xfId="2" applyNumberFormat="1" applyFont="1" applyAlignment="1">
      <alignment wrapText="1"/>
    </xf>
    <xf numFmtId="164" fontId="1" fillId="0" borderId="0" xfId="2" applyNumberFormat="1" applyFont="1" applyBorder="1" applyAlignment="1">
      <alignment horizontal="center" wrapText="1"/>
    </xf>
    <xf numFmtId="164" fontId="0" fillId="0" borderId="0" xfId="2" applyNumberFormat="1" applyFont="1"/>
    <xf numFmtId="164" fontId="0" fillId="0" borderId="0" xfId="0" applyNumberFormat="1"/>
    <xf numFmtId="2" fontId="8" fillId="0" borderId="1" xfId="1" applyNumberFormat="1" applyFont="1" applyBorder="1"/>
    <xf numFmtId="2" fontId="8" fillId="0" borderId="1" xfId="0" applyNumberFormat="1" applyFont="1" applyBorder="1"/>
    <xf numFmtId="0" fontId="1" fillId="0" borderId="6" xfId="0" applyFont="1" applyBorder="1" applyAlignment="1">
      <alignment wrapText="1"/>
    </xf>
    <xf numFmtId="0" fontId="0" fillId="2" borderId="0" xfId="0" applyFill="1"/>
    <xf numFmtId="0" fontId="1" fillId="2" borderId="4" xfId="0" applyFont="1" applyFill="1" applyBorder="1" applyAlignment="1">
      <alignment horizontal="center" vertical="center" wrapText="1"/>
    </xf>
    <xf numFmtId="9" fontId="1" fillId="2" borderId="1" xfId="0" applyNumberFormat="1" applyFont="1" applyFill="1" applyBorder="1" applyAlignment="1">
      <alignment horizontal="center" wrapText="1"/>
    </xf>
    <xf numFmtId="164" fontId="0" fillId="2" borderId="0" xfId="2" applyNumberFormat="1" applyFont="1" applyFill="1"/>
    <xf numFmtId="164" fontId="1" fillId="2" borderId="0" xfId="2" applyNumberFormat="1" applyFont="1" applyFill="1" applyBorder="1" applyAlignment="1">
      <alignment horizontal="center" wrapText="1"/>
    </xf>
    <xf numFmtId="0" fontId="3" fillId="2" borderId="0" xfId="0" applyFont="1" applyFill="1" applyAlignment="1">
      <alignment wrapText="1"/>
    </xf>
    <xf numFmtId="0" fontId="1" fillId="2" borderId="1" xfId="0" applyFont="1" applyFill="1" applyBorder="1" applyAlignment="1">
      <alignment horizontal="center" wrapText="1"/>
    </xf>
    <xf numFmtId="2" fontId="0" fillId="2" borderId="0" xfId="0" applyNumberFormat="1" applyFill="1"/>
    <xf numFmtId="164" fontId="0" fillId="2" borderId="0" xfId="0" applyNumberFormat="1" applyFill="1"/>
    <xf numFmtId="0" fontId="9" fillId="0" borderId="0" xfId="0" applyFont="1" applyAlignment="1"/>
    <xf numFmtId="3" fontId="0" fillId="2" borderId="0" xfId="0" applyNumberFormat="1" applyFill="1"/>
    <xf numFmtId="3" fontId="0" fillId="0" borderId="0" xfId="0" applyNumberFormat="1"/>
    <xf numFmtId="0" fontId="0" fillId="3" borderId="0" xfId="0" applyFill="1"/>
    <xf numFmtId="0" fontId="1" fillId="3" borderId="4" xfId="0" applyFont="1" applyFill="1" applyBorder="1" applyAlignment="1">
      <alignment horizontal="center" vertical="center" wrapText="1"/>
    </xf>
    <xf numFmtId="9" fontId="1" fillId="3" borderId="1" xfId="1" applyFont="1" applyFill="1" applyBorder="1" applyAlignment="1">
      <alignment horizontal="center" wrapText="1"/>
    </xf>
    <xf numFmtId="164" fontId="1" fillId="3" borderId="0" xfId="2" applyNumberFormat="1" applyFont="1" applyFill="1" applyBorder="1" applyAlignment="1">
      <alignment horizontal="center" wrapText="1"/>
    </xf>
    <xf numFmtId="0" fontId="3" fillId="3" borderId="0" xfId="0" applyFont="1" applyFill="1" applyAlignment="1">
      <alignment wrapText="1"/>
    </xf>
    <xf numFmtId="0" fontId="1" fillId="3" borderId="1" xfId="0" applyFont="1" applyFill="1" applyBorder="1" applyAlignment="1">
      <alignment horizontal="center" wrapText="1"/>
    </xf>
    <xf numFmtId="1" fontId="0" fillId="3" borderId="0" xfId="0" applyNumberFormat="1" applyFill="1"/>
    <xf numFmtId="2" fontId="0" fillId="3" borderId="0" xfId="0" applyNumberFormat="1" applyFill="1"/>
    <xf numFmtId="164" fontId="0" fillId="3" borderId="0" xfId="2" applyNumberFormat="1" applyFont="1" applyFill="1"/>
    <xf numFmtId="3" fontId="0" fillId="3" borderId="0" xfId="0" applyNumberFormat="1" applyFill="1"/>
    <xf numFmtId="0" fontId="0" fillId="4" borderId="0" xfId="0" applyFill="1"/>
    <xf numFmtId="164" fontId="0" fillId="4" borderId="0" xfId="2" applyNumberFormat="1" applyFont="1" applyFill="1"/>
    <xf numFmtId="0" fontId="3" fillId="4" borderId="0" xfId="0" applyFont="1" applyFill="1" applyAlignment="1">
      <alignment wrapText="1"/>
    </xf>
    <xf numFmtId="0" fontId="1" fillId="4" borderId="4" xfId="0" applyFont="1" applyFill="1" applyBorder="1" applyAlignment="1">
      <alignment horizontal="center" wrapText="1"/>
    </xf>
    <xf numFmtId="0" fontId="1" fillId="4" borderId="1" xfId="0" applyFont="1" applyFill="1" applyBorder="1" applyAlignment="1">
      <alignment horizontal="center" wrapText="1"/>
    </xf>
    <xf numFmtId="0" fontId="0" fillId="5" borderId="0" xfId="0" applyFill="1"/>
    <xf numFmtId="0" fontId="1" fillId="5" borderId="4" xfId="0" applyFont="1" applyFill="1" applyBorder="1" applyAlignment="1">
      <alignment horizontal="center" vertical="center" wrapText="1"/>
    </xf>
    <xf numFmtId="9" fontId="1" fillId="5" borderId="1" xfId="0" applyNumberFormat="1" applyFont="1" applyFill="1" applyBorder="1" applyAlignment="1">
      <alignment horizontal="center" wrapText="1"/>
    </xf>
    <xf numFmtId="164" fontId="0" fillId="5" borderId="0" xfId="2" applyNumberFormat="1" applyFont="1" applyFill="1"/>
    <xf numFmtId="164" fontId="1" fillId="5" borderId="0" xfId="2" applyNumberFormat="1" applyFont="1" applyFill="1" applyBorder="1" applyAlignment="1">
      <alignment horizontal="center" wrapText="1"/>
    </xf>
    <xf numFmtId="0" fontId="3" fillId="5" borderId="0" xfId="0" applyFont="1" applyFill="1" applyAlignment="1">
      <alignment wrapText="1"/>
    </xf>
    <xf numFmtId="0" fontId="1" fillId="5" borderId="1" xfId="0" applyFont="1" applyFill="1" applyBorder="1" applyAlignment="1">
      <alignment horizontal="center" wrapText="1"/>
    </xf>
    <xf numFmtId="3" fontId="0" fillId="5" borderId="0" xfId="0" applyNumberFormat="1" applyFill="1"/>
    <xf numFmtId="1" fontId="0" fillId="5" borderId="0" xfId="0" applyNumberFormat="1" applyFill="1"/>
    <xf numFmtId="2" fontId="0" fillId="5" borderId="0" xfId="0" applyNumberFormat="1" applyFill="1"/>
    <xf numFmtId="164" fontId="1" fillId="4" borderId="0" xfId="0" applyNumberFormat="1" applyFont="1" applyFill="1"/>
    <xf numFmtId="9" fontId="1" fillId="0" borderId="0" xfId="1" applyFont="1"/>
    <xf numFmtId="9" fontId="1" fillId="0" borderId="0" xfId="1" applyNumberFormat="1" applyFont="1"/>
    <xf numFmtId="10" fontId="1" fillId="0" borderId="0" xfId="1" applyNumberFormat="1" applyFont="1"/>
    <xf numFmtId="9" fontId="1" fillId="0" borderId="0" xfId="0" applyNumberFormat="1" applyFont="1"/>
    <xf numFmtId="0" fontId="0" fillId="0" borderId="0" xfId="0" applyBorder="1" applyAlignment="1">
      <alignment horizontal="right" wrapText="1"/>
    </xf>
    <xf numFmtId="3" fontId="0" fillId="2" borderId="0" xfId="0" applyNumberFormat="1" applyFill="1" applyBorder="1"/>
    <xf numFmtId="2" fontId="0" fillId="2" borderId="0" xfId="0" applyNumberFormat="1" applyFill="1" applyBorder="1"/>
    <xf numFmtId="164" fontId="0" fillId="2" borderId="0" xfId="0" applyNumberFormat="1" applyFill="1" applyBorder="1"/>
    <xf numFmtId="0" fontId="0" fillId="2" borderId="0" xfId="0" applyFill="1" applyBorder="1"/>
    <xf numFmtId="3" fontId="0" fillId="5" borderId="0" xfId="0" applyNumberFormat="1" applyFill="1" applyBorder="1"/>
    <xf numFmtId="1" fontId="0" fillId="5" borderId="0" xfId="0" applyNumberFormat="1" applyFill="1" applyBorder="1"/>
    <xf numFmtId="2" fontId="0" fillId="5" borderId="0" xfId="0" applyNumberFormat="1" applyFill="1" applyBorder="1"/>
    <xf numFmtId="164" fontId="0" fillId="5" borderId="0" xfId="2" applyNumberFormat="1" applyFont="1" applyFill="1" applyBorder="1"/>
    <xf numFmtId="1" fontId="0" fillId="3" borderId="0" xfId="0" applyNumberFormat="1" applyFill="1" applyBorder="1"/>
    <xf numFmtId="2" fontId="0" fillId="3" borderId="0" xfId="0" applyNumberFormat="1" applyFill="1" applyBorder="1"/>
    <xf numFmtId="164" fontId="0" fillId="3" borderId="0" xfId="2" applyNumberFormat="1" applyFont="1" applyFill="1" applyBorder="1"/>
    <xf numFmtId="3" fontId="0" fillId="0" borderId="0" xfId="0" applyNumberFormat="1" applyBorder="1"/>
    <xf numFmtId="2" fontId="0" fillId="0" borderId="0" xfId="0" applyNumberFormat="1" applyBorder="1"/>
    <xf numFmtId="164" fontId="0" fillId="0" borderId="0" xfId="0" applyNumberFormat="1" applyBorder="1"/>
    <xf numFmtId="164" fontId="1" fillId="4" borderId="0" xfId="0" applyNumberFormat="1" applyFont="1" applyFill="1" applyBorder="1"/>
    <xf numFmtId="9" fontId="1" fillId="0" borderId="0" xfId="1" applyNumberFormat="1" applyFont="1" applyBorder="1"/>
    <xf numFmtId="0" fontId="0" fillId="0" borderId="0" xfId="0" applyBorder="1"/>
    <xf numFmtId="0" fontId="3" fillId="0" borderId="2" xfId="0" applyFont="1" applyBorder="1" applyAlignment="1">
      <alignment horizontal="center" wrapText="1"/>
    </xf>
    <xf numFmtId="0" fontId="1" fillId="0" borderId="4" xfId="0" applyFont="1" applyBorder="1" applyAlignment="1">
      <alignment horizontal="center"/>
    </xf>
    <xf numFmtId="0" fontId="1" fillId="0" borderId="6" xfId="0" applyFont="1" applyBorder="1" applyAlignment="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Gabbe, Aaron" id="{608932BF-F38F-48F4-BD6A-E5698E303D63}" userId="S::36382@icf.com::1d182cdd-38f0-4ef7-aeed-f918f0714f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0-03-05T19:18:22.37" personId="{608932BF-F38F-48F4-BD6A-E5698E303D63}" id="{6E75BF70-F623-40C7-BF71-F6A9A9D29343}">
    <text>277 acres is not attempting to incorporate future development.  It is an acknowledgement that the County will have to manage those 277 acres with the same level of effort as the HMA management until such time as development occurs.</text>
  </threadedComment>
  <threadedComment ref="E7" dT="2020-03-05T21:19:58.00" personId="{608932BF-F38F-48F4-BD6A-E5698E303D63}" id="{9D72AD34-A2BE-46CB-B6EF-06B7984E6889}" parentId="{6E75BF70-F623-40C7-BF71-F6A9A9D29343}">
    <text>Ering refers to this as allowable development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S38"/>
  <sheetViews>
    <sheetView tabSelected="1" zoomScaleNormal="100" workbookViewId="0">
      <pane xSplit="1" ySplit="7" topLeftCell="B8" activePane="bottomRight" state="frozen"/>
      <selection pane="topRight" activeCell="B1" sqref="B1"/>
      <selection pane="bottomLeft" activeCell="A3" sqref="A3"/>
      <selection pane="bottomRight" activeCell="A18" sqref="A18"/>
    </sheetView>
  </sheetViews>
  <sheetFormatPr defaultRowHeight="15" x14ac:dyDescent="0.25"/>
  <cols>
    <col min="1" max="1" width="37.85546875" style="2" customWidth="1"/>
    <col min="3" max="3" width="10.85546875" customWidth="1"/>
    <col min="4" max="4" width="14.42578125" bestFit="1" customWidth="1"/>
    <col min="5" max="8" width="14.28515625" customWidth="1"/>
    <col min="9" max="9" width="14.140625" bestFit="1" customWidth="1"/>
    <col min="10" max="14" width="14.140625" customWidth="1"/>
    <col min="15" max="17" width="14.28515625" hidden="1" customWidth="1"/>
    <col min="18" max="18" width="17.42578125" customWidth="1"/>
  </cols>
  <sheetData>
    <row r="3" spans="1:19" ht="60" x14ac:dyDescent="0.25">
      <c r="B3" s="45"/>
      <c r="C3" s="45"/>
      <c r="D3" s="46" t="s">
        <v>15</v>
      </c>
      <c r="E3" s="45"/>
      <c r="F3" s="45"/>
      <c r="G3" s="46" t="s">
        <v>23</v>
      </c>
      <c r="H3" s="72"/>
      <c r="I3" s="72"/>
      <c r="J3" s="72"/>
      <c r="K3" s="73" t="s">
        <v>18</v>
      </c>
      <c r="L3" s="57"/>
      <c r="M3" s="57"/>
      <c r="N3" s="58" t="s">
        <v>19</v>
      </c>
      <c r="Q3" s="16" t="s">
        <v>22</v>
      </c>
      <c r="R3" s="67"/>
    </row>
    <row r="4" spans="1:19" ht="15.75" thickBot="1" x14ac:dyDescent="0.3">
      <c r="A4" s="2" t="s">
        <v>82</v>
      </c>
      <c r="B4" s="45"/>
      <c r="C4" s="45"/>
      <c r="D4" s="47">
        <v>0.7</v>
      </c>
      <c r="E4" s="45"/>
      <c r="F4" s="45"/>
      <c r="G4" s="47">
        <v>0.7</v>
      </c>
      <c r="H4" s="72"/>
      <c r="I4" s="72"/>
      <c r="J4" s="72"/>
      <c r="K4" s="74">
        <v>0.18</v>
      </c>
      <c r="L4" s="57"/>
      <c r="M4" s="57"/>
      <c r="N4" s="59">
        <v>0.12</v>
      </c>
      <c r="Q4" s="17">
        <v>0</v>
      </c>
      <c r="R4" s="67"/>
    </row>
    <row r="5" spans="1:19" s="40" customFormat="1" ht="37.5" customHeight="1" x14ac:dyDescent="0.25">
      <c r="A5" s="38">
        <v>17000000</v>
      </c>
      <c r="B5" s="48"/>
      <c r="C5" s="48"/>
      <c r="D5" s="49">
        <f>A5*D4</f>
        <v>11900000</v>
      </c>
      <c r="E5" s="48"/>
      <c r="F5" s="48"/>
      <c r="G5" s="49"/>
      <c r="H5" s="75"/>
      <c r="I5" s="75"/>
      <c r="J5" s="75"/>
      <c r="K5" s="76">
        <f>A5*K4</f>
        <v>3060000</v>
      </c>
      <c r="L5" s="60"/>
      <c r="M5" s="60"/>
      <c r="N5" s="60">
        <f>A5*N4</f>
        <v>2040000</v>
      </c>
      <c r="Q5" s="39">
        <f>A5*Q4</f>
        <v>0</v>
      </c>
      <c r="R5" s="68"/>
    </row>
    <row r="6" spans="1:19" s="7" customFormat="1" ht="12" x14ac:dyDescent="0.2">
      <c r="B6" s="50"/>
      <c r="C6" s="50"/>
      <c r="D6" s="50"/>
      <c r="E6" s="50"/>
      <c r="F6" s="50"/>
      <c r="G6" s="50"/>
      <c r="H6" s="77"/>
      <c r="I6" s="77"/>
      <c r="J6" s="77"/>
      <c r="K6" s="77"/>
      <c r="L6" s="61"/>
      <c r="M6" s="61"/>
      <c r="N6" s="61"/>
      <c r="R6" s="69"/>
    </row>
    <row r="7" spans="1:19" s="1" customFormat="1" ht="60" x14ac:dyDescent="0.25">
      <c r="A7" s="13" t="s">
        <v>0</v>
      </c>
      <c r="B7" s="46" t="s">
        <v>13</v>
      </c>
      <c r="C7" s="46" t="s">
        <v>66</v>
      </c>
      <c r="D7" s="46" t="s">
        <v>67</v>
      </c>
      <c r="E7" s="46" t="s">
        <v>87</v>
      </c>
      <c r="F7" s="46" t="s">
        <v>88</v>
      </c>
      <c r="G7" s="46" t="s">
        <v>70</v>
      </c>
      <c r="H7" s="73" t="s">
        <v>20</v>
      </c>
      <c r="I7" s="73" t="s">
        <v>17</v>
      </c>
      <c r="J7" s="73" t="s">
        <v>73</v>
      </c>
      <c r="K7" s="73" t="s">
        <v>71</v>
      </c>
      <c r="L7" s="58" t="s">
        <v>83</v>
      </c>
      <c r="M7" s="58" t="s">
        <v>84</v>
      </c>
      <c r="N7" s="58" t="s">
        <v>72</v>
      </c>
      <c r="O7" s="16" t="s">
        <v>16</v>
      </c>
      <c r="P7" s="16" t="s">
        <v>65</v>
      </c>
      <c r="Q7" s="16" t="s">
        <v>69</v>
      </c>
      <c r="R7" s="70" t="s">
        <v>74</v>
      </c>
      <c r="S7" s="44" t="s">
        <v>75</v>
      </c>
    </row>
    <row r="8" spans="1:19" s="15" customFormat="1" ht="15.75" thickBot="1" x14ac:dyDescent="0.3">
      <c r="A8" s="5"/>
      <c r="B8" s="51" t="s">
        <v>14</v>
      </c>
      <c r="C8" s="51" t="s">
        <v>52</v>
      </c>
      <c r="D8" s="47" t="s">
        <v>68</v>
      </c>
      <c r="E8" s="51" t="s">
        <v>14</v>
      </c>
      <c r="F8" s="51" t="s">
        <v>52</v>
      </c>
      <c r="G8" s="47" t="s">
        <v>68</v>
      </c>
      <c r="H8" s="78" t="s">
        <v>21</v>
      </c>
      <c r="I8" s="78" t="s">
        <v>14</v>
      </c>
      <c r="J8" s="78" t="s">
        <v>52</v>
      </c>
      <c r="K8" s="74" t="s">
        <v>68</v>
      </c>
      <c r="L8" s="62" t="s">
        <v>14</v>
      </c>
      <c r="M8" s="62" t="s">
        <v>52</v>
      </c>
      <c r="N8" s="62" t="s">
        <v>68</v>
      </c>
      <c r="O8" s="6" t="s">
        <v>14</v>
      </c>
      <c r="P8" s="6" t="s">
        <v>52</v>
      </c>
      <c r="Q8" s="17" t="s">
        <v>68</v>
      </c>
      <c r="R8" s="71"/>
    </row>
    <row r="9" spans="1:19" x14ac:dyDescent="0.25">
      <c r="A9" s="4" t="s">
        <v>1</v>
      </c>
      <c r="B9" s="55">
        <f>1848-277</f>
        <v>1571</v>
      </c>
      <c r="C9" s="52">
        <f>B9/(B$19+E$19)</f>
        <v>0.40344119157678482</v>
      </c>
      <c r="D9" s="53">
        <f>C9*D$5</f>
        <v>4800950.179763739</v>
      </c>
      <c r="E9" s="45">
        <v>277</v>
      </c>
      <c r="F9" s="52">
        <f>E9/(B$19+E$19)</f>
        <v>7.1135079609655885E-2</v>
      </c>
      <c r="G9" s="53">
        <f>F9*D$5</f>
        <v>846507.44735490507</v>
      </c>
      <c r="H9" s="79">
        <f>39000+4500</f>
        <v>43500</v>
      </c>
      <c r="I9" s="80">
        <f>(H9*100)/43560</f>
        <v>99.862258953168038</v>
      </c>
      <c r="J9" s="81">
        <f>I9/I$19</f>
        <v>0.67441860465116277</v>
      </c>
      <c r="K9" s="75">
        <f>J9*K$5</f>
        <v>2063720.9302325582</v>
      </c>
      <c r="L9" s="63">
        <f>793-I9</f>
        <v>693.13774104683193</v>
      </c>
      <c r="M9" s="64">
        <f>L9/L$19</f>
        <v>0.49336162152517016</v>
      </c>
      <c r="N9" s="65">
        <f>M9*N$5</f>
        <v>1006457.7079113472</v>
      </c>
      <c r="O9" s="56">
        <v>793</v>
      </c>
      <c r="P9" s="18">
        <f>'Dev Parcel Habitat Cover'!D9</f>
        <v>0.50348258149871028</v>
      </c>
      <c r="Q9" s="41">
        <f>P9*Q$5</f>
        <v>0</v>
      </c>
      <c r="R9" s="82">
        <f>D9+Q9+G9+K9+N9</f>
        <v>8717636.2652625497</v>
      </c>
      <c r="S9" s="83">
        <f>(R9/$A$5)</f>
        <v>0.5128021332507382</v>
      </c>
    </row>
    <row r="10" spans="1:19" x14ac:dyDescent="0.25">
      <c r="A10" s="4" t="s">
        <v>2</v>
      </c>
      <c r="B10" s="55">
        <v>0</v>
      </c>
      <c r="C10" s="52">
        <f t="shared" ref="C10:C12" si="0">B10/(B$19+E$19)</f>
        <v>0</v>
      </c>
      <c r="D10" s="53">
        <f t="shared" ref="D10:D12" si="1">C10*D$5</f>
        <v>0</v>
      </c>
      <c r="E10" s="45">
        <v>0</v>
      </c>
      <c r="F10" s="52">
        <f t="shared" ref="F10:F12" si="2">E10/(B$19+E$19)</f>
        <v>0</v>
      </c>
      <c r="G10" s="53">
        <f t="shared" ref="G10:G12" si="3">F10*D$5</f>
        <v>0</v>
      </c>
      <c r="H10" s="79">
        <v>14740</v>
      </c>
      <c r="I10" s="80">
        <f>(H10*100)/43560</f>
        <v>33.838383838383841</v>
      </c>
      <c r="J10" s="81">
        <f>I10/I$19</f>
        <v>0.22852713178294576</v>
      </c>
      <c r="K10" s="75">
        <f>J10*K$5</f>
        <v>699293.02325581398</v>
      </c>
      <c r="L10" s="63">
        <f>423-I10</f>
        <v>389.16161616161617</v>
      </c>
      <c r="M10" s="64">
        <f t="shared" ref="M10:M12" si="4">L10/L$19</f>
        <v>0.27699747772337574</v>
      </c>
      <c r="N10" s="65">
        <f t="shared" ref="N10:N12" si="5">M10*N$5</f>
        <v>565074.85455568647</v>
      </c>
      <c r="O10" s="56">
        <v>423</v>
      </c>
      <c r="P10" s="18">
        <f>'Dev Parcel Habitat Cover'!F9</f>
        <v>0.26817456764219516</v>
      </c>
      <c r="Q10" s="41">
        <f>P10*Q$5</f>
        <v>0</v>
      </c>
      <c r="R10" s="82">
        <f>D10+Q10+G10+K10+N10</f>
        <v>1264367.8778115003</v>
      </c>
      <c r="S10" s="84">
        <f t="shared" ref="S10:S12" si="6">(R10/$A$5)</f>
        <v>7.4374581047735311E-2</v>
      </c>
    </row>
    <row r="11" spans="1:19" x14ac:dyDescent="0.25">
      <c r="A11" s="4" t="s">
        <v>3</v>
      </c>
      <c r="B11" s="55">
        <v>236</v>
      </c>
      <c r="C11" s="52">
        <f t="shared" si="0"/>
        <v>6.0606060606060608E-2</v>
      </c>
      <c r="D11" s="53">
        <f t="shared" si="1"/>
        <v>721212.12121212122</v>
      </c>
      <c r="E11" s="45">
        <v>0</v>
      </c>
      <c r="F11" s="52">
        <f t="shared" si="2"/>
        <v>0</v>
      </c>
      <c r="G11" s="53">
        <f t="shared" si="3"/>
        <v>0</v>
      </c>
      <c r="H11" s="79">
        <v>0</v>
      </c>
      <c r="I11" s="80">
        <f t="shared" ref="I11:I12" si="7">(H11*100)/43560</f>
        <v>0</v>
      </c>
      <c r="J11" s="81">
        <f>I11/I$19</f>
        <v>0</v>
      </c>
      <c r="K11" s="75">
        <f>J11*K$5</f>
        <v>0</v>
      </c>
      <c r="L11" s="63">
        <f>0-I11</f>
        <v>0</v>
      </c>
      <c r="M11" s="64">
        <f t="shared" si="4"/>
        <v>0</v>
      </c>
      <c r="N11" s="65">
        <f t="shared" si="5"/>
        <v>0</v>
      </c>
      <c r="O11" s="56">
        <v>0</v>
      </c>
      <c r="P11" s="18">
        <f t="shared" ref="P11" si="8">O11/O$19</f>
        <v>0</v>
      </c>
      <c r="Q11" s="41">
        <f>P11*Q$5</f>
        <v>0</v>
      </c>
      <c r="R11" s="82">
        <f>D11+Q11+G11+K11+N11</f>
        <v>721212.12121212122</v>
      </c>
      <c r="S11" s="84">
        <f t="shared" si="6"/>
        <v>4.2424242424242427E-2</v>
      </c>
    </row>
    <row r="12" spans="1:19" x14ac:dyDescent="0.25">
      <c r="A12" s="4" t="s">
        <v>4</v>
      </c>
      <c r="B12" s="55">
        <v>0</v>
      </c>
      <c r="C12" s="52">
        <f t="shared" si="0"/>
        <v>0</v>
      </c>
      <c r="D12" s="53">
        <f t="shared" si="1"/>
        <v>0</v>
      </c>
      <c r="E12" s="45">
        <v>0</v>
      </c>
      <c r="F12" s="52">
        <f t="shared" si="2"/>
        <v>0</v>
      </c>
      <c r="G12" s="53">
        <f t="shared" si="3"/>
        <v>0</v>
      </c>
      <c r="H12" s="79">
        <v>0</v>
      </c>
      <c r="I12" s="80">
        <f t="shared" si="7"/>
        <v>0</v>
      </c>
      <c r="J12" s="81">
        <f>I12/I$19</f>
        <v>0</v>
      </c>
      <c r="K12" s="75">
        <f>J12*K$5</f>
        <v>0</v>
      </c>
      <c r="L12" s="63">
        <f>32-I12</f>
        <v>32</v>
      </c>
      <c r="M12" s="64">
        <f t="shared" si="4"/>
        <v>2.2776961856040032E-2</v>
      </c>
      <c r="N12" s="65">
        <f t="shared" si="5"/>
        <v>46465.002186321668</v>
      </c>
      <c r="O12" s="56">
        <v>32</v>
      </c>
      <c r="P12" s="18">
        <f>'Dev Parcel Habitat Cover'!H9</f>
        <v>2.1276890384175781E-2</v>
      </c>
      <c r="Q12" s="41">
        <f>P12*Q$5</f>
        <v>0</v>
      </c>
      <c r="R12" s="82">
        <f>D12+Q12+G12+K12+N12</f>
        <v>46465.002186321668</v>
      </c>
      <c r="S12" s="85">
        <f t="shared" si="6"/>
        <v>2.733235422724804E-3</v>
      </c>
    </row>
    <row r="13" spans="1:19" s="104" customFormat="1" x14ac:dyDescent="0.25">
      <c r="A13" s="87" t="s">
        <v>5</v>
      </c>
      <c r="B13" s="88">
        <v>0</v>
      </c>
      <c r="C13" s="89">
        <f t="shared" ref="C13:C18" si="9">B13/(B$19+E$19)</f>
        <v>0</v>
      </c>
      <c r="D13" s="90">
        <f t="shared" ref="D13:D18" si="10">C13*D$5</f>
        <v>0</v>
      </c>
      <c r="E13" s="91">
        <v>0</v>
      </c>
      <c r="F13" s="89">
        <f>E13/(B$19+E$19)</f>
        <v>0</v>
      </c>
      <c r="G13" s="90">
        <f>F13*D$5</f>
        <v>0</v>
      </c>
      <c r="H13" s="92">
        <v>6260</v>
      </c>
      <c r="I13" s="93">
        <f>(H13*100)/43560</f>
        <v>14.370982552800735</v>
      </c>
      <c r="J13" s="94">
        <f>I13/I$19</f>
        <v>9.7054263565891474E-2</v>
      </c>
      <c r="K13" s="95">
        <f>J13*K$5</f>
        <v>296986.04651162791</v>
      </c>
      <c r="L13" s="96">
        <f>305-I13</f>
        <v>290.62901744719926</v>
      </c>
      <c r="M13" s="97">
        <f>L13/L$19</f>
        <v>0.2068639388954141</v>
      </c>
      <c r="N13" s="98">
        <f>M13*N$5</f>
        <v>422002.43534664478</v>
      </c>
      <c r="O13" s="99">
        <v>305</v>
      </c>
      <c r="P13" s="100">
        <f>'Dev Parcel Habitat Cover'!J9</f>
        <v>0.20706596047491876</v>
      </c>
      <c r="Q13" s="101">
        <f>P13*Q$5</f>
        <v>0</v>
      </c>
      <c r="R13" s="102">
        <f>D13+Q13+G13+K13+N13</f>
        <v>718988.48185827269</v>
      </c>
      <c r="S13" s="103">
        <f>(R13/$A$5)</f>
        <v>4.229344010931016E-2</v>
      </c>
    </row>
    <row r="14" spans="1:19" x14ac:dyDescent="0.25">
      <c r="A14" s="4" t="s">
        <v>89</v>
      </c>
      <c r="B14" s="55">
        <v>979</v>
      </c>
      <c r="C14" s="52">
        <f t="shared" si="9"/>
        <v>0.25141242937853109</v>
      </c>
      <c r="D14" s="53">
        <f t="shared" si="10"/>
        <v>2991807.9096045201</v>
      </c>
      <c r="E14" s="45"/>
      <c r="F14" s="52"/>
      <c r="G14" s="53"/>
      <c r="H14" s="79"/>
      <c r="I14" s="80"/>
      <c r="J14" s="81"/>
      <c r="K14" s="75"/>
      <c r="L14" s="63"/>
      <c r="M14" s="64"/>
      <c r="N14" s="65"/>
      <c r="O14" s="56"/>
      <c r="P14" s="18"/>
      <c r="Q14" s="41"/>
      <c r="R14" s="82"/>
      <c r="S14" s="85"/>
    </row>
    <row r="15" spans="1:19" x14ac:dyDescent="0.25">
      <c r="A15" s="4" t="s">
        <v>90</v>
      </c>
      <c r="B15" s="55">
        <v>19</v>
      </c>
      <c r="C15" s="52">
        <f t="shared" si="9"/>
        <v>4.8793014894709811E-3</v>
      </c>
      <c r="D15" s="53">
        <f t="shared" si="10"/>
        <v>58063.687724704672</v>
      </c>
      <c r="E15" s="45"/>
      <c r="F15" s="52"/>
      <c r="G15" s="53"/>
      <c r="H15" s="79"/>
      <c r="I15" s="80"/>
      <c r="J15" s="81"/>
      <c r="K15" s="75"/>
      <c r="L15" s="63"/>
      <c r="M15" s="64"/>
      <c r="N15" s="65"/>
      <c r="O15" s="56"/>
      <c r="P15" s="18"/>
      <c r="Q15" s="41"/>
      <c r="R15" s="82"/>
      <c r="S15" s="85"/>
    </row>
    <row r="16" spans="1:19" x14ac:dyDescent="0.25">
      <c r="A16" s="4" t="s">
        <v>91</v>
      </c>
      <c r="B16" s="55">
        <v>606</v>
      </c>
      <c r="C16" s="52">
        <f t="shared" si="9"/>
        <v>0.15562403697996918</v>
      </c>
      <c r="D16" s="53">
        <f t="shared" si="10"/>
        <v>1851926.0400616333</v>
      </c>
      <c r="E16" s="45"/>
      <c r="F16" s="52"/>
      <c r="G16" s="53"/>
      <c r="H16" s="79"/>
      <c r="I16" s="80"/>
      <c r="J16" s="81"/>
      <c r="K16" s="75"/>
      <c r="L16" s="63"/>
      <c r="M16" s="64"/>
      <c r="N16" s="65"/>
      <c r="O16" s="56"/>
      <c r="P16" s="18"/>
      <c r="Q16" s="41"/>
      <c r="R16" s="82"/>
      <c r="S16" s="85"/>
    </row>
    <row r="17" spans="1:19" x14ac:dyDescent="0.25">
      <c r="A17" s="4" t="s">
        <v>92</v>
      </c>
      <c r="B17" s="55">
        <v>206</v>
      </c>
      <c r="C17" s="52">
        <f t="shared" si="9"/>
        <v>5.2901900359527479E-2</v>
      </c>
      <c r="D17" s="53">
        <f t="shared" si="10"/>
        <v>629532.61427837703</v>
      </c>
      <c r="E17" s="45"/>
      <c r="F17" s="52"/>
      <c r="G17" s="53"/>
      <c r="H17" s="79"/>
      <c r="I17" s="80"/>
      <c r="J17" s="81"/>
      <c r="K17" s="75"/>
      <c r="L17" s="63"/>
      <c r="M17" s="64"/>
      <c r="N17" s="65"/>
      <c r="O17" s="56"/>
      <c r="P17" s="18"/>
      <c r="Q17" s="41"/>
      <c r="R17" s="82"/>
      <c r="S17" s="85"/>
    </row>
    <row r="18" spans="1:19" x14ac:dyDescent="0.25">
      <c r="A18" s="2" t="s">
        <v>93</v>
      </c>
      <c r="B18" s="55">
        <v>0</v>
      </c>
      <c r="C18" s="52">
        <f t="shared" si="9"/>
        <v>0</v>
      </c>
      <c r="D18" s="53">
        <f t="shared" si="10"/>
        <v>0</v>
      </c>
      <c r="H18">
        <v>1400</v>
      </c>
      <c r="L18">
        <v>303</v>
      </c>
    </row>
    <row r="19" spans="1:19" x14ac:dyDescent="0.25">
      <c r="A19" s="12" t="s">
        <v>12</v>
      </c>
      <c r="B19" s="55">
        <f>SUM(B9:B18)</f>
        <v>3617</v>
      </c>
      <c r="C19" s="45"/>
      <c r="D19" s="53">
        <f>SUM(D9:D18)</f>
        <v>11053492.552645095</v>
      </c>
      <c r="E19" s="45">
        <f>SUM(E9:E16)</f>
        <v>277</v>
      </c>
      <c r="F19" s="45"/>
      <c r="G19" s="53">
        <f>SUM(G9:G16)</f>
        <v>846507.44735490507</v>
      </c>
      <c r="H19" s="79">
        <f>SUM(H9:H16)</f>
        <v>64500</v>
      </c>
      <c r="I19" s="80">
        <f>SUM(I9:I16)</f>
        <v>148.07162534435261</v>
      </c>
      <c r="J19" s="72"/>
      <c r="K19" s="75">
        <f>SUM(K9:K16)</f>
        <v>3060000</v>
      </c>
      <c r="L19" s="66">
        <f>SUM(L9:L16)</f>
        <v>1404.9283746556473</v>
      </c>
      <c r="M19" s="57"/>
      <c r="N19" s="65">
        <f>SUM(N9:N16)</f>
        <v>2040000</v>
      </c>
      <c r="O19" s="56">
        <f>SUM(O9:O16)</f>
        <v>1553</v>
      </c>
      <c r="Q19" s="41">
        <f>SUM(Q9:Q16)</f>
        <v>0</v>
      </c>
      <c r="R19" s="82">
        <f>SUM(R9:R16)</f>
        <v>11468669.748330766</v>
      </c>
      <c r="S19" s="86">
        <f>SUM(S9:S16)</f>
        <v>0.67462763225475098</v>
      </c>
    </row>
    <row r="25" spans="1:19" x14ac:dyDescent="0.25">
      <c r="A25" s="1" t="s">
        <v>9</v>
      </c>
    </row>
    <row r="26" spans="1:19" x14ac:dyDescent="0.25">
      <c r="A26" s="54" t="s">
        <v>76</v>
      </c>
    </row>
    <row r="27" spans="1:19" x14ac:dyDescent="0.25">
      <c r="A27" s="54" t="s">
        <v>86</v>
      </c>
    </row>
    <row r="28" spans="1:19" x14ac:dyDescent="0.25">
      <c r="A28" s="54" t="s">
        <v>77</v>
      </c>
    </row>
    <row r="29" spans="1:19" x14ac:dyDescent="0.25">
      <c r="A29" s="54" t="s">
        <v>78</v>
      </c>
    </row>
    <row r="30" spans="1:19" x14ac:dyDescent="0.25">
      <c r="A30" s="54" t="s">
        <v>79</v>
      </c>
    </row>
    <row r="31" spans="1:19" x14ac:dyDescent="0.25">
      <c r="A31" s="54" t="s">
        <v>80</v>
      </c>
    </row>
    <row r="32" spans="1:19" x14ac:dyDescent="0.25">
      <c r="A32" s="54" t="s">
        <v>85</v>
      </c>
    </row>
    <row r="33" spans="1:1" x14ac:dyDescent="0.25">
      <c r="A33" s="54" t="s">
        <v>81</v>
      </c>
    </row>
    <row r="34" spans="1:1" x14ac:dyDescent="0.25">
      <c r="A34" s="3"/>
    </row>
    <row r="35" spans="1:1" x14ac:dyDescent="0.25">
      <c r="A35" s="3"/>
    </row>
    <row r="36" spans="1:1" x14ac:dyDescent="0.25">
      <c r="A36" s="3"/>
    </row>
    <row r="37" spans="1:1" x14ac:dyDescent="0.25">
      <c r="A37" s="3"/>
    </row>
    <row r="38" spans="1:1" x14ac:dyDescent="0.25">
      <c r="A38" s="3"/>
    </row>
  </sheetData>
  <pageMargins left="0.7" right="0.7" top="0.75" bottom="0.75" header="0.3" footer="0.3"/>
  <pageSetup paperSize="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workbookViewId="0">
      <selection activeCell="M20" sqref="M20"/>
    </sheetView>
  </sheetViews>
  <sheetFormatPr defaultRowHeight="15" x14ac:dyDescent="0.25"/>
  <cols>
    <col min="1" max="1" width="37.85546875" style="2" customWidth="1"/>
    <col min="3" max="3" width="16.28515625" customWidth="1"/>
    <col min="4" max="4" width="11.140625" customWidth="1"/>
    <col min="5" max="5" width="13.28515625" customWidth="1"/>
    <col min="9" max="9" width="13.85546875" customWidth="1"/>
    <col min="10" max="10" width="18.42578125" bestFit="1" customWidth="1"/>
    <col min="11" max="11" width="29.28515625" customWidth="1"/>
    <col min="13" max="13" width="25.28515625" bestFit="1" customWidth="1"/>
    <col min="14" max="14" width="16.5703125" bestFit="1" customWidth="1"/>
    <col min="15" max="15" width="8.42578125" customWidth="1"/>
  </cols>
  <sheetData>
    <row r="1" spans="1:18" s="7" customFormat="1" ht="60" x14ac:dyDescent="0.2">
      <c r="E1" s="7" t="s">
        <v>29</v>
      </c>
      <c r="F1" s="105" t="s">
        <v>30</v>
      </c>
      <c r="G1" s="105"/>
      <c r="H1" s="105"/>
      <c r="I1" s="9"/>
      <c r="J1" s="8"/>
    </row>
    <row r="2" spans="1:18" s="1" customFormat="1" ht="30" x14ac:dyDescent="0.25">
      <c r="A2" s="13" t="s">
        <v>0</v>
      </c>
      <c r="B2" s="14" t="s">
        <v>13</v>
      </c>
      <c r="C2" s="14" t="s">
        <v>11</v>
      </c>
      <c r="D2" s="14" t="s">
        <v>25</v>
      </c>
      <c r="E2" s="14" t="s">
        <v>26</v>
      </c>
      <c r="F2" s="14" t="s">
        <v>6</v>
      </c>
      <c r="G2" s="14" t="s">
        <v>7</v>
      </c>
      <c r="H2" s="14" t="s">
        <v>8</v>
      </c>
      <c r="I2" s="14" t="s">
        <v>27</v>
      </c>
      <c r="J2" s="14" t="s">
        <v>28</v>
      </c>
      <c r="K2" s="14" t="s">
        <v>10</v>
      </c>
    </row>
    <row r="3" spans="1:18" s="21" customFormat="1" ht="15.75" thickBot="1" x14ac:dyDescent="0.3">
      <c r="A3" s="6"/>
      <c r="B3" s="21" t="s">
        <v>14</v>
      </c>
      <c r="C3" s="21" t="s">
        <v>55</v>
      </c>
      <c r="D3" s="21" t="s">
        <v>14</v>
      </c>
      <c r="E3" s="21" t="s">
        <v>14</v>
      </c>
      <c r="F3" s="21" t="s">
        <v>14</v>
      </c>
      <c r="G3" s="21" t="s">
        <v>14</v>
      </c>
      <c r="H3" s="21" t="s">
        <v>14</v>
      </c>
      <c r="I3" s="21" t="s">
        <v>24</v>
      </c>
      <c r="J3" s="21" t="s">
        <v>24</v>
      </c>
    </row>
    <row r="4" spans="1:18" x14ac:dyDescent="0.25">
      <c r="A4" s="4" t="s">
        <v>1</v>
      </c>
      <c r="B4">
        <v>1848</v>
      </c>
      <c r="C4" s="19">
        <f>B4/(B4+B6)*100</f>
        <v>88.675623800383875</v>
      </c>
      <c r="D4">
        <v>8</v>
      </c>
      <c r="E4">
        <v>376</v>
      </c>
      <c r="F4">
        <v>1950</v>
      </c>
      <c r="G4">
        <v>493</v>
      </c>
      <c r="H4">
        <v>109</v>
      </c>
      <c r="I4">
        <v>9</v>
      </c>
      <c r="J4">
        <v>5</v>
      </c>
      <c r="K4" t="s">
        <v>56</v>
      </c>
    </row>
    <row r="5" spans="1:18" x14ac:dyDescent="0.25">
      <c r="A5" s="4" t="s">
        <v>2</v>
      </c>
      <c r="B5">
        <v>0</v>
      </c>
      <c r="C5" s="19">
        <v>0</v>
      </c>
      <c r="D5">
        <v>0</v>
      </c>
      <c r="E5">
        <v>0</v>
      </c>
      <c r="F5">
        <v>0</v>
      </c>
      <c r="G5">
        <v>0</v>
      </c>
      <c r="H5">
        <v>0</v>
      </c>
      <c r="I5">
        <v>0</v>
      </c>
      <c r="J5">
        <v>0</v>
      </c>
    </row>
    <row r="6" spans="1:18" x14ac:dyDescent="0.25">
      <c r="A6" s="4" t="s">
        <v>3</v>
      </c>
      <c r="B6">
        <v>236</v>
      </c>
      <c r="C6" s="19">
        <f>B6/(B6+B4)*100</f>
        <v>11.324376199616124</v>
      </c>
      <c r="D6">
        <v>0</v>
      </c>
      <c r="E6">
        <v>0</v>
      </c>
      <c r="F6">
        <v>201</v>
      </c>
      <c r="G6">
        <v>55</v>
      </c>
      <c r="H6">
        <v>53</v>
      </c>
      <c r="I6">
        <v>6</v>
      </c>
      <c r="J6">
        <v>5</v>
      </c>
      <c r="K6" t="s">
        <v>57</v>
      </c>
    </row>
    <row r="7" spans="1:18" x14ac:dyDescent="0.25">
      <c r="A7" s="4" t="s">
        <v>4</v>
      </c>
      <c r="B7">
        <v>0</v>
      </c>
      <c r="C7" s="19">
        <v>0</v>
      </c>
      <c r="D7">
        <v>0</v>
      </c>
      <c r="E7">
        <v>0</v>
      </c>
      <c r="F7">
        <v>0</v>
      </c>
      <c r="G7">
        <v>0</v>
      </c>
      <c r="H7">
        <v>0</v>
      </c>
      <c r="I7">
        <v>0</v>
      </c>
      <c r="J7">
        <v>0</v>
      </c>
    </row>
    <row r="8" spans="1:18" ht="15.75" thickBot="1" x14ac:dyDescent="0.3">
      <c r="A8" s="10" t="s">
        <v>5</v>
      </c>
      <c r="B8" s="11">
        <v>0</v>
      </c>
      <c r="C8" s="20">
        <v>0</v>
      </c>
      <c r="D8" s="11">
        <v>0</v>
      </c>
      <c r="E8" s="11">
        <v>0</v>
      </c>
      <c r="F8" s="11">
        <v>0</v>
      </c>
      <c r="G8" s="11">
        <v>0</v>
      </c>
      <c r="H8" s="11">
        <v>0</v>
      </c>
      <c r="I8" s="11">
        <v>0</v>
      </c>
      <c r="J8" s="11">
        <v>0</v>
      </c>
      <c r="K8" s="11"/>
    </row>
    <row r="9" spans="1:18" x14ac:dyDescent="0.25">
      <c r="A9" s="12"/>
    </row>
    <row r="12" spans="1:18" x14ac:dyDescent="0.25">
      <c r="M12" s="26"/>
      <c r="N12" s="106" t="s">
        <v>54</v>
      </c>
      <c r="O12" s="106"/>
      <c r="P12" s="106"/>
      <c r="Q12" s="106"/>
      <c r="R12" s="25"/>
    </row>
    <row r="13" spans="1:18" ht="15.75" thickBot="1" x14ac:dyDescent="0.3">
      <c r="M13" s="27" t="s">
        <v>34</v>
      </c>
      <c r="N13" s="27" t="s">
        <v>1</v>
      </c>
      <c r="O13" s="31" t="s">
        <v>52</v>
      </c>
      <c r="P13" s="27" t="s">
        <v>3</v>
      </c>
      <c r="Q13" s="31" t="s">
        <v>52</v>
      </c>
    </row>
    <row r="14" spans="1:18" ht="15.75" thickTop="1" x14ac:dyDescent="0.25">
      <c r="M14" s="24" t="s">
        <v>44</v>
      </c>
      <c r="O14" s="22"/>
      <c r="Q14" s="22"/>
    </row>
    <row r="15" spans="1:18" x14ac:dyDescent="0.25">
      <c r="A15" s="1" t="s">
        <v>9</v>
      </c>
      <c r="M15" t="s">
        <v>35</v>
      </c>
      <c r="N15" s="19">
        <v>798.55</v>
      </c>
      <c r="O15" s="32">
        <f>N15/(N15+P15)*100</f>
        <v>96.793939393939382</v>
      </c>
      <c r="P15" s="19">
        <v>26.45</v>
      </c>
      <c r="Q15" s="34">
        <f>P15/(N15+P15)*100</f>
        <v>3.2060606060606061</v>
      </c>
    </row>
    <row r="16" spans="1:18" ht="23.25" x14ac:dyDescent="0.25">
      <c r="A16" s="3" t="s">
        <v>31</v>
      </c>
      <c r="M16" t="s">
        <v>36</v>
      </c>
      <c r="N16" s="19">
        <v>966.74</v>
      </c>
      <c r="O16" s="32">
        <f t="shared" ref="O16:O30" si="0">N16/(N16+P16)*100</f>
        <v>84.739314890782239</v>
      </c>
      <c r="P16" s="19">
        <v>174.1</v>
      </c>
      <c r="Q16" s="34">
        <f t="shared" ref="Q16:Q31" si="1">P16/(N16+P16)*100</f>
        <v>15.26068510921777</v>
      </c>
    </row>
    <row r="17" spans="1:17" x14ac:dyDescent="0.25">
      <c r="A17" s="3" t="s">
        <v>32</v>
      </c>
      <c r="M17" t="s">
        <v>37</v>
      </c>
      <c r="N17" s="19">
        <v>183.94</v>
      </c>
      <c r="O17" s="32">
        <f t="shared" si="0"/>
        <v>100</v>
      </c>
      <c r="P17" s="19">
        <v>0</v>
      </c>
      <c r="Q17" s="34">
        <f t="shared" si="1"/>
        <v>0</v>
      </c>
    </row>
    <row r="18" spans="1:17" x14ac:dyDescent="0.25">
      <c r="A18" s="3" t="s">
        <v>33</v>
      </c>
      <c r="H18" t="s">
        <v>58</v>
      </c>
      <c r="I18" s="23" t="s">
        <v>52</v>
      </c>
      <c r="M18" t="s">
        <v>38</v>
      </c>
      <c r="N18" s="19">
        <v>275.77999999999997</v>
      </c>
      <c r="O18" s="32">
        <f t="shared" si="0"/>
        <v>89.626259343516395</v>
      </c>
      <c r="P18" s="19">
        <v>31.92</v>
      </c>
      <c r="Q18" s="34">
        <f t="shared" si="1"/>
        <v>10.373740656483589</v>
      </c>
    </row>
    <row r="19" spans="1:17" x14ac:dyDescent="0.25">
      <c r="A19" s="3"/>
      <c r="H19">
        <v>2552</v>
      </c>
      <c r="I19" s="19">
        <f>H19/H21*100</f>
        <v>89.199580566235582</v>
      </c>
      <c r="M19" t="s">
        <v>39</v>
      </c>
      <c r="N19" s="19">
        <v>229.37</v>
      </c>
      <c r="O19" s="32">
        <f t="shared" si="0"/>
        <v>100</v>
      </c>
      <c r="P19" s="19">
        <v>0</v>
      </c>
      <c r="Q19" s="34">
        <f t="shared" si="1"/>
        <v>0</v>
      </c>
    </row>
    <row r="20" spans="1:17" x14ac:dyDescent="0.25">
      <c r="A20" s="3"/>
      <c r="H20">
        <v>309</v>
      </c>
      <c r="I20" s="19">
        <f>H20/H21*100</f>
        <v>10.800419433764418</v>
      </c>
      <c r="M20" t="s">
        <v>40</v>
      </c>
      <c r="N20" s="19">
        <v>467.49</v>
      </c>
      <c r="O20" s="32">
        <f t="shared" si="0"/>
        <v>100</v>
      </c>
      <c r="P20" s="19">
        <v>0</v>
      </c>
      <c r="Q20" s="34">
        <f t="shared" si="1"/>
        <v>0</v>
      </c>
    </row>
    <row r="21" spans="1:17" x14ac:dyDescent="0.25">
      <c r="A21" s="3"/>
      <c r="H21">
        <f>SUM(H19:H20)</f>
        <v>2861</v>
      </c>
      <c r="M21" t="s">
        <v>41</v>
      </c>
      <c r="N21" s="19">
        <v>108.97</v>
      </c>
      <c r="O21" s="32">
        <f t="shared" si="0"/>
        <v>67.165927021696248</v>
      </c>
      <c r="P21" s="19">
        <v>53.27</v>
      </c>
      <c r="Q21" s="34">
        <f t="shared" si="1"/>
        <v>32.834072978303745</v>
      </c>
    </row>
    <row r="22" spans="1:17" x14ac:dyDescent="0.25">
      <c r="A22" s="3"/>
      <c r="M22" t="s">
        <v>42</v>
      </c>
      <c r="N22" s="19">
        <v>570.37199999999996</v>
      </c>
      <c r="O22" s="32">
        <f t="shared" si="0"/>
        <v>90.863790021697497</v>
      </c>
      <c r="P22" s="19">
        <v>57.35</v>
      </c>
      <c r="Q22" s="34">
        <f t="shared" si="1"/>
        <v>9.1362099783024977</v>
      </c>
    </row>
    <row r="23" spans="1:17" x14ac:dyDescent="0.25">
      <c r="A23" s="3"/>
      <c r="M23" t="s">
        <v>43</v>
      </c>
      <c r="N23" s="19">
        <v>1681.55</v>
      </c>
      <c r="O23" s="32">
        <f t="shared" si="0"/>
        <v>87.737468498411218</v>
      </c>
      <c r="P23" s="19">
        <v>235.02</v>
      </c>
      <c r="Q23" s="34">
        <f t="shared" si="1"/>
        <v>12.262531501588777</v>
      </c>
    </row>
    <row r="24" spans="1:17" x14ac:dyDescent="0.25">
      <c r="A24" s="3"/>
      <c r="M24" s="24" t="s">
        <v>45</v>
      </c>
      <c r="N24" s="19"/>
      <c r="O24" s="32"/>
      <c r="P24" s="19"/>
      <c r="Q24" s="34"/>
    </row>
    <row r="25" spans="1:17" x14ac:dyDescent="0.25">
      <c r="A25" s="3"/>
      <c r="M25" t="s">
        <v>46</v>
      </c>
      <c r="N25" s="19">
        <v>0</v>
      </c>
      <c r="O25" s="32">
        <f t="shared" si="0"/>
        <v>0</v>
      </c>
      <c r="P25" s="18">
        <v>0.01</v>
      </c>
      <c r="Q25" s="34">
        <f t="shared" si="1"/>
        <v>100</v>
      </c>
    </row>
    <row r="26" spans="1:17" x14ac:dyDescent="0.25">
      <c r="A26" s="3"/>
      <c r="M26" t="s">
        <v>47</v>
      </c>
      <c r="N26" s="19">
        <v>1598.91</v>
      </c>
      <c r="O26" s="32">
        <f t="shared" si="0"/>
        <v>93.749670186630397</v>
      </c>
      <c r="P26" s="19">
        <v>106.6</v>
      </c>
      <c r="Q26" s="34">
        <f t="shared" si="1"/>
        <v>6.2503298133696079</v>
      </c>
    </row>
    <row r="27" spans="1:17" x14ac:dyDescent="0.25">
      <c r="A27" s="3"/>
      <c r="M27" t="s">
        <v>48</v>
      </c>
      <c r="N27" s="19">
        <v>1517.15</v>
      </c>
      <c r="O27" s="32">
        <f t="shared" si="0"/>
        <v>97.89327655181313</v>
      </c>
      <c r="P27" s="19">
        <v>32.65</v>
      </c>
      <c r="Q27" s="34">
        <f t="shared" si="1"/>
        <v>2.1067234481868624</v>
      </c>
    </row>
    <row r="28" spans="1:17" x14ac:dyDescent="0.25">
      <c r="A28" s="3"/>
      <c r="M28" t="s">
        <v>49</v>
      </c>
      <c r="N28" s="19">
        <v>256.96499999999997</v>
      </c>
      <c r="O28" s="32">
        <f t="shared" si="0"/>
        <v>81.585255504579862</v>
      </c>
      <c r="P28" s="19">
        <v>58</v>
      </c>
      <c r="Q28" s="34">
        <f t="shared" si="1"/>
        <v>18.414744495420127</v>
      </c>
    </row>
    <row r="29" spans="1:17" x14ac:dyDescent="0.25">
      <c r="A29" s="3"/>
      <c r="M29" t="s">
        <v>50</v>
      </c>
      <c r="N29" s="19">
        <v>1.88</v>
      </c>
      <c r="O29" s="32">
        <f t="shared" si="0"/>
        <v>100</v>
      </c>
      <c r="P29" s="19">
        <v>0</v>
      </c>
      <c r="Q29" s="34">
        <f t="shared" si="1"/>
        <v>0</v>
      </c>
    </row>
    <row r="30" spans="1:17" x14ac:dyDescent="0.25">
      <c r="A30" s="3"/>
      <c r="M30" t="s">
        <v>51</v>
      </c>
      <c r="N30" s="19">
        <v>1827.87</v>
      </c>
      <c r="O30" s="32">
        <f t="shared" si="0"/>
        <v>88.607245175457734</v>
      </c>
      <c r="P30" s="19">
        <v>235.02</v>
      </c>
      <c r="Q30" s="34">
        <f t="shared" si="1"/>
        <v>11.392754824542269</v>
      </c>
    </row>
    <row r="31" spans="1:17" ht="15.75" thickBot="1" x14ac:dyDescent="0.3">
      <c r="M31" s="28" t="s">
        <v>53</v>
      </c>
      <c r="N31" s="29">
        <f>SUM(N15:N30)</f>
        <v>10485.537</v>
      </c>
      <c r="O31" s="33">
        <f>N31/(N31+P31)*100</f>
        <v>91.21088712550106</v>
      </c>
      <c r="P31" s="29">
        <f>SUM(P15:P30)</f>
        <v>1010.39</v>
      </c>
      <c r="Q31" s="35">
        <f t="shared" si="1"/>
        <v>8.789112874498942</v>
      </c>
    </row>
  </sheetData>
  <mergeCells count="2">
    <mergeCell ref="F1:H1"/>
    <mergeCell ref="N12:Q12"/>
  </mergeCells>
  <pageMargins left="0.7" right="0.7" top="0.75" bottom="0.75" header="0.3" footer="0.3"/>
  <pageSetup orientation="portrait" r:id="rId1"/>
  <ignoredErrors>
    <ignoredError sqref="O31"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9"/>
  <sheetViews>
    <sheetView workbookViewId="0">
      <selection activeCell="K19" sqref="K19"/>
    </sheetView>
  </sheetViews>
  <sheetFormatPr defaultRowHeight="15" x14ac:dyDescent="0.25"/>
  <cols>
    <col min="2" max="2" width="32.28515625" bestFit="1" customWidth="1"/>
    <col min="3" max="3" width="16.7109375" bestFit="1" customWidth="1"/>
    <col min="4" max="4" width="7.85546875" customWidth="1"/>
    <col min="5" max="5" width="10.7109375" customWidth="1"/>
    <col min="7" max="7" width="10.7109375" customWidth="1"/>
    <col min="9" max="9" width="10.7109375" customWidth="1"/>
  </cols>
  <sheetData>
    <row r="2" spans="2:11" x14ac:dyDescent="0.25">
      <c r="B2" s="37"/>
      <c r="C2" s="107" t="s">
        <v>54</v>
      </c>
      <c r="D2" s="107"/>
      <c r="E2" s="107"/>
      <c r="F2" s="107"/>
      <c r="G2" s="107"/>
      <c r="H2" s="107"/>
      <c r="I2" s="107"/>
      <c r="J2" s="107"/>
    </row>
    <row r="3" spans="2:11" s="2" customFormat="1" ht="30.75" thickBot="1" x14ac:dyDescent="0.3">
      <c r="B3" s="30" t="s">
        <v>60</v>
      </c>
      <c r="C3" s="30" t="s">
        <v>1</v>
      </c>
      <c r="D3" s="36" t="s">
        <v>52</v>
      </c>
      <c r="E3" s="30" t="s">
        <v>2</v>
      </c>
      <c r="F3" s="36" t="s">
        <v>52</v>
      </c>
      <c r="G3" s="30" t="s">
        <v>59</v>
      </c>
      <c r="H3" s="36" t="s">
        <v>52</v>
      </c>
      <c r="I3" s="30" t="s">
        <v>5</v>
      </c>
      <c r="J3" s="36" t="s">
        <v>52</v>
      </c>
    </row>
    <row r="4" spans="2:11" ht="15.75" thickTop="1" x14ac:dyDescent="0.25">
      <c r="B4" s="24"/>
      <c r="D4" s="22"/>
      <c r="F4" s="22"/>
      <c r="H4" s="22"/>
      <c r="J4" s="22"/>
    </row>
    <row r="5" spans="2:11" x14ac:dyDescent="0.25">
      <c r="B5" t="s">
        <v>61</v>
      </c>
      <c r="C5" s="19">
        <v>120.35</v>
      </c>
      <c r="D5" s="32">
        <f>C5/(C5+E5+G5+I5)*100</f>
        <v>14.365689457601219</v>
      </c>
      <c r="E5" s="19">
        <v>384.36</v>
      </c>
      <c r="F5" s="32">
        <f>E5/(E5+C5+G5+I5)*100</f>
        <v>45.879488158899917</v>
      </c>
      <c r="G5" s="19">
        <v>31.19</v>
      </c>
      <c r="H5" s="32">
        <f>G5/(C5+E5+G5+I5)*100</f>
        <v>3.7230233002291819</v>
      </c>
      <c r="I5" s="19">
        <v>301.86</v>
      </c>
      <c r="J5" s="32">
        <f>I5/(C5+E5+G5+I5)*100</f>
        <v>36.031799083269668</v>
      </c>
      <c r="K5" s="19"/>
    </row>
    <row r="6" spans="2:11" x14ac:dyDescent="0.25">
      <c r="B6" t="s">
        <v>62</v>
      </c>
      <c r="C6" s="19">
        <v>589.03</v>
      </c>
      <c r="D6" s="32">
        <f t="shared" ref="D6:D8" si="0">C6/(C6+E6+G6+I6)*100</f>
        <v>99.998353251911553</v>
      </c>
      <c r="E6" s="18">
        <v>9.7000000000000003E-3</v>
      </c>
      <c r="F6" s="32">
        <f t="shared" ref="F6:F8" si="1">E6/(E6+C6+G6+I6)*100</f>
        <v>1.646748088456517E-3</v>
      </c>
      <c r="G6" s="19">
        <v>0</v>
      </c>
      <c r="H6" s="32">
        <f t="shared" ref="H6:H8" si="2">G6/(C6+E6+G6+I6)*100</f>
        <v>0</v>
      </c>
      <c r="I6" s="19">
        <v>0</v>
      </c>
      <c r="J6" s="32">
        <f t="shared" ref="J6:J8" si="3">I6/(C6+E6+G6+I6)*100</f>
        <v>0</v>
      </c>
      <c r="K6" s="19"/>
    </row>
    <row r="7" spans="2:11" x14ac:dyDescent="0.25">
      <c r="B7" t="s">
        <v>63</v>
      </c>
      <c r="C7" s="19">
        <v>27.39</v>
      </c>
      <c r="D7" s="32">
        <f t="shared" si="0"/>
        <v>75.788599889319315</v>
      </c>
      <c r="E7" s="19">
        <v>8.75</v>
      </c>
      <c r="F7" s="32">
        <f t="shared" si="1"/>
        <v>24.211400110680685</v>
      </c>
      <c r="G7" s="19">
        <v>0</v>
      </c>
      <c r="H7" s="32">
        <f t="shared" si="2"/>
        <v>0</v>
      </c>
      <c r="I7" s="19">
        <v>0</v>
      </c>
      <c r="J7" s="32">
        <f t="shared" si="3"/>
        <v>0</v>
      </c>
      <c r="K7" s="19"/>
    </row>
    <row r="8" spans="2:11" x14ac:dyDescent="0.25">
      <c r="B8" t="s">
        <v>64</v>
      </c>
      <c r="C8" s="19">
        <v>1.29</v>
      </c>
      <c r="D8" s="32">
        <f t="shared" si="0"/>
        <v>43.43434343434344</v>
      </c>
      <c r="E8" s="19">
        <v>0</v>
      </c>
      <c r="F8" s="32">
        <f t="shared" si="1"/>
        <v>0</v>
      </c>
      <c r="G8" s="19">
        <v>0</v>
      </c>
      <c r="H8" s="32">
        <f t="shared" si="2"/>
        <v>0</v>
      </c>
      <c r="I8" s="19">
        <v>1.68</v>
      </c>
      <c r="J8" s="32">
        <f t="shared" si="3"/>
        <v>56.56565656565656</v>
      </c>
      <c r="K8" s="19"/>
    </row>
    <row r="9" spans="2:11" ht="15.75" thickBot="1" x14ac:dyDescent="0.3">
      <c r="B9" s="28" t="s">
        <v>53</v>
      </c>
      <c r="C9" s="29">
        <f>SUM(C5:C8)</f>
        <v>738.06</v>
      </c>
      <c r="D9" s="42">
        <f>C9/(C9+E9+G9+I9)</f>
        <v>0.50348258149871028</v>
      </c>
      <c r="E9" s="29">
        <f>SUM(E5:E8)</f>
        <v>393.11970000000002</v>
      </c>
      <c r="F9" s="43">
        <f>E9/(C9+E9+G9+I9)</f>
        <v>0.26817456764219516</v>
      </c>
      <c r="G9" s="29">
        <f>SUM(G5:G8)</f>
        <v>31.19</v>
      </c>
      <c r="H9" s="43">
        <f>G9/(C9+E9+G9+I9)</f>
        <v>2.1276890384175781E-2</v>
      </c>
      <c r="I9" s="29">
        <f>SUM(I5:I8)</f>
        <v>303.54000000000002</v>
      </c>
      <c r="J9" s="43">
        <f>I9/(C9+E9+G9+I9)</f>
        <v>0.20706596047491876</v>
      </c>
      <c r="K9" s="19"/>
    </row>
  </sheetData>
  <mergeCells count="1">
    <mergeCell ref="C2:J2"/>
  </mergeCells>
  <pageMargins left="0.7" right="0.7" top="0.75" bottom="0.75" header="0.3" footer="0.3"/>
  <ignoredErrors>
    <ignoredError sqref="D9 F9 H9" formula="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3" ma:contentTypeDescription="Create a new document." ma:contentTypeScope="" ma:versionID="305c1ba2f468622f35c5f5954654bda5">
  <xsd:schema xmlns:xsd="http://www.w3.org/2001/XMLSchema" xmlns:xs="http://www.w3.org/2001/XMLSchema" xmlns:p="http://schemas.microsoft.com/office/2006/metadata/properties" xmlns:ns3="fdc81ec3-f4f6-4609-b50f-04d22d16fef5" xmlns:ns4="c442bec3-5de2-4848-8046-1525657b99f6" targetNamespace="http://schemas.microsoft.com/office/2006/metadata/properties" ma:root="true" ma:fieldsID="7788c1fa55aa23e59e639c47c738cc5c" ns3:_="" ns4:_="">
    <xsd:import namespace="fdc81ec3-f4f6-4609-b50f-04d22d16fef5"/>
    <xsd:import namespace="c442bec3-5de2-4848-8046-1525657b99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B6A450-5F06-468B-818C-F148598145FA}">
  <ds:schemaRefs>
    <ds:schemaRef ds:uri="http://schemas.microsoft.com/sharepoint/v3/contenttype/forms"/>
  </ds:schemaRefs>
</ds:datastoreItem>
</file>

<file path=customXml/itemProps2.xml><?xml version="1.0" encoding="utf-8"?>
<ds:datastoreItem xmlns:ds="http://schemas.openxmlformats.org/officeDocument/2006/customXml" ds:itemID="{A19E9A2F-0E4D-477D-8401-5B505FA506C1}">
  <ds:schemaRefs>
    <ds:schemaRef ds:uri="http://schemas.microsoft.com/office/infopath/2007/PartnerControl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purl.org/dc/dcmitype/"/>
    <ds:schemaRef ds:uri="c442bec3-5de2-4848-8046-1525657b99f6"/>
    <ds:schemaRef ds:uri="fdc81ec3-f4f6-4609-b50f-04d22d16fef5"/>
    <ds:schemaRef ds:uri="http://schemas.openxmlformats.org/package/2006/metadata/core-properties"/>
  </ds:schemaRefs>
</ds:datastoreItem>
</file>

<file path=customXml/itemProps3.xml><?xml version="1.0" encoding="utf-8"?>
<ds:datastoreItem xmlns:ds="http://schemas.openxmlformats.org/officeDocument/2006/customXml" ds:itemID="{30FBB19F-67EA-41D4-BFD5-F89CC6BB6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81ec3-f4f6-4609-b50f-04d22d16fef5"/>
    <ds:schemaRef ds:uri="c442bec3-5de2-4848-8046-1525657b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CFD Allocation</vt:lpstr>
      <vt:lpstr>HMA Mgmt Activities</vt:lpstr>
      <vt:lpstr>Dev Parcel Habitat Cover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Gabbe, Aaron</dc:creator>
  <cp:lastModifiedBy>Jen Simon</cp:lastModifiedBy>
  <dcterms:created xsi:type="dcterms:W3CDTF">2020-03-03T16:49:23Z</dcterms:created>
  <dcterms:modified xsi:type="dcterms:W3CDTF">2020-03-06T21:32:36Z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y fmtid="{D5CDD505-2E9C-101B-9397-08002B2CF9AE}" pid="3" name="_dlc_DocIdItemGuid">
    <vt:lpwstr>e40dc263-a144-47c5-ac3b-6472499293c4</vt:lpwstr>
  </property>
</Properties>
</file>